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0350" activeTab="0"/>
  </bookViews>
  <sheets>
    <sheet name="25Jahre" sheetId="1" r:id="rId1"/>
    <sheet name="Vergütung" sheetId="2" r:id="rId2"/>
  </sheets>
  <definedNames>
    <definedName name="_xlnm.Print_Area" localSheetId="0">'25Jahre'!$A$1:$M$46</definedName>
    <definedName name="ExterneDaten_1" localSheetId="0">'25Jahre'!$A$13:$L$46</definedName>
  </definedNames>
  <calcPr fullCalcOnLoad="1"/>
</workbook>
</file>

<file path=xl/sharedStrings.xml><?xml version="1.0" encoding="utf-8"?>
<sst xmlns="http://schemas.openxmlformats.org/spreadsheetml/2006/main" count="93" uniqueCount="79">
  <si>
    <t>Finanzplan</t>
  </si>
  <si>
    <t>Zinsen</t>
  </si>
  <si>
    <t>Tilgung</t>
  </si>
  <si>
    <t>Restschuld</t>
  </si>
  <si>
    <t>Strom-Ertrag</t>
  </si>
  <si>
    <t>Zählergebühr</t>
  </si>
  <si>
    <t>Rücklage</t>
  </si>
  <si>
    <t>Start</t>
  </si>
  <si>
    <t xml:space="preserve">Größe / Leistung der Anlage </t>
  </si>
  <si>
    <t xml:space="preserve">kWp </t>
  </si>
  <si>
    <t xml:space="preserve">Förderung NRW / REN-Programm </t>
  </si>
  <si>
    <t>€</t>
  </si>
  <si>
    <t>kWh/kWp</t>
  </si>
  <si>
    <t xml:space="preserve">Voraussichtlicher Minderertrag </t>
  </si>
  <si>
    <t>%</t>
  </si>
  <si>
    <t xml:space="preserve">nicht öffentliche Fördergelder </t>
  </si>
  <si>
    <t xml:space="preserve">Jahr der Inbetriebname </t>
  </si>
  <si>
    <t xml:space="preserve">Zinssatz Restsumme </t>
  </si>
  <si>
    <t>Investitionssumme (netto)</t>
  </si>
  <si>
    <t xml:space="preserve">Voraussichtliche Einspeisevergütung laut EEG </t>
  </si>
  <si>
    <t xml:space="preserve">spezif. Jahresertr. einer opt. inst. Anlage: </t>
  </si>
  <si>
    <t xml:space="preserve">% bei einerRestfinanzierung von </t>
  </si>
  <si>
    <t xml:space="preserve">% bei einem Kreditbetrag von </t>
  </si>
  <si>
    <t>Anfangstilgung Bank</t>
  </si>
  <si>
    <t>% pro Jahr</t>
  </si>
  <si>
    <t>Jahr</t>
  </si>
  <si>
    <t xml:space="preserve">Wirtschaftlichkeitsberechnung in Anlehnung an den Online-PV-Förderrechner (c/o Energieagentur NRW) </t>
  </si>
  <si>
    <t>Die Anlage</t>
  </si>
  <si>
    <t>Strompreis/ Vergütung nach 20 Jahren :</t>
  </si>
  <si>
    <t>Gewinne/Verluste nach dem 25. Jahr</t>
  </si>
  <si>
    <t>sonst. öffentl. Zuschüsse Bund, Land oder Kommune</t>
  </si>
  <si>
    <t>Zinssatz  K f W</t>
  </si>
  <si>
    <t>10 Jahre</t>
  </si>
  <si>
    <t>20 Jahre</t>
  </si>
  <si>
    <r>
      <t>Vergütung</t>
    </r>
    <r>
      <rPr>
        <sz val="10"/>
        <rFont val="Arial"/>
        <family val="0"/>
      </rPr>
      <t xml:space="preserve"> ab 1.1.2004</t>
    </r>
  </si>
  <si>
    <r>
      <t>Vergütung</t>
    </r>
    <r>
      <rPr>
        <sz val="10"/>
        <rFont val="Arial"/>
        <family val="0"/>
      </rPr>
      <t xml:space="preserve"> bis Ende 03</t>
    </r>
  </si>
  <si>
    <t xml:space="preserve">Tilgung [%]          </t>
  </si>
  <si>
    <t>Kredit - Laufzeit ca.</t>
  </si>
  <si>
    <t>Auswahl-Werte:</t>
  </si>
  <si>
    <t>Ertrags-Summe</t>
  </si>
  <si>
    <t xml:space="preserve">jährliche Bilanz von </t>
  </si>
  <si>
    <t>Ertrag - Belastung</t>
  </si>
  <si>
    <t xml:space="preserve">gesamte bisherige </t>
  </si>
  <si>
    <t>Rücklage f. Reparaturen/Versicherungen ( 1 % )</t>
  </si>
  <si>
    <t>Zählermiete (-gebühr, netto)  *</t>
  </si>
  <si>
    <t xml:space="preserve">     *   ( hier bei der Investition bereits berücksichtigt ! )</t>
  </si>
  <si>
    <t>Haben/Soll-Zns</t>
  </si>
  <si>
    <t>20 Jahre ( bei 5% Zins)</t>
  </si>
  <si>
    <t>bei 5% Zins :</t>
  </si>
  <si>
    <t>Degression ab 2005:</t>
  </si>
  <si>
    <t>(95% vom jeweil.Vorjahreswert)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</si>
  <si>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</si>
  <si>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</si>
  <si>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</si>
  <si>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</si>
  <si>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</si>
  <si>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</si>
  <si>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</si>
  <si>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</si>
  <si>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</si>
  <si>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</si>
  <si>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</si>
  <si>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</si>
  <si>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</si>
  <si>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</si>
  <si>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</si>
  <si>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</si>
  <si>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</si>
  <si>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</si>
  <si>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</si>
  <si>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</si>
  <si>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</si>
  <si>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</si>
  <si>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</si>
  <si>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</si>
  <si>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</si>
  <si>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Kredit</t>
  </si>
  <si>
    <t>(Anl. bis 30 kWp)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</si>
  <si>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-Bonus (</t>
    </r>
    <r>
      <rPr>
        <sz val="9"/>
        <rFont val="Arial"/>
        <family val="2"/>
      </rPr>
      <t>€</t>
    </r>
    <r>
      <rPr>
        <sz val="8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</si>
</sst>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0000_ ;[Red]\-#,##0.000000\ "/>
    <numFmt numFmtId="170" formatCode="0.00000"/>
    <numFmt numFmtId="171" formatCode="0.000"/>
    <numFmt numFmtId="172" formatCode="#,##0.000\ &quot;€&quot;;[Red]\-#,##0.000\ &quot;€&quot;"/>
    <numFmt numFmtId="173" formatCode="#,##0.000000\ &quot;€&quot;;[Red]\-#,##0.000000\ &quot;€&quot;"/>
    <numFmt numFmtId="174" formatCode="#,##0.00_ ;[Red]\-#,##0.00\ "/>
    <numFmt numFmtId="175" formatCode="#,##0.000_ ;[Red]\-#,##0.000\ "/>
    <numFmt numFmtId="176" formatCode="#,##0.00\ &quot;€&quot;"/>
    <numFmt numFmtId="177" formatCode="[$-407]dddd\,\ d\.\ mmmm\ yyyy"/>
    <numFmt numFmtId="178" formatCode="0.0000"/>
    <numFmt numFmtId="179" formatCode="0.000000"/>
    <numFmt numFmtId="180" formatCode="0.0000000"/>
    <numFmt numFmtId="181" formatCode="0.0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14"/>
      <color indexed="4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0"/>
    </font>
    <font>
      <vertAlign val="subscript"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8" fontId="1" fillId="0" borderId="0" xfId="0" applyNumberFormat="1" applyFont="1" applyFill="1" applyAlignment="1">
      <alignment/>
    </xf>
    <xf numFmtId="8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8" fontId="1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1" fillId="5" borderId="1" xfId="0" applyNumberFormat="1" applyFont="1" applyFill="1" applyBorder="1" applyAlignment="1">
      <alignment/>
    </xf>
    <xf numFmtId="168" fontId="1" fillId="5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168" fontId="1" fillId="9" borderId="1" xfId="0" applyNumberFormat="1" applyFont="1" applyFill="1" applyBorder="1" applyAlignment="1">
      <alignment/>
    </xf>
    <xf numFmtId="168" fontId="1" fillId="10" borderId="1" xfId="0" applyNumberFormat="1" applyFont="1" applyFill="1" applyBorder="1" applyAlignment="1">
      <alignment/>
    </xf>
    <xf numFmtId="168" fontId="1" fillId="11" borderId="1" xfId="0" applyNumberFormat="1" applyFont="1" applyFill="1" applyBorder="1" applyAlignment="1">
      <alignment/>
    </xf>
    <xf numFmtId="168" fontId="1" fillId="12" borderId="0" xfId="0" applyNumberFormat="1" applyFont="1" applyFill="1" applyAlignment="1">
      <alignment/>
    </xf>
    <xf numFmtId="0" fontId="1" fillId="13" borderId="1" xfId="0" applyFont="1" applyFill="1" applyBorder="1" applyAlignment="1">
      <alignment/>
    </xf>
    <xf numFmtId="8" fontId="2" fillId="12" borderId="1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8" fontId="1" fillId="13" borderId="0" xfId="0" applyNumberFormat="1" applyFont="1" applyFill="1" applyAlignment="1">
      <alignment/>
    </xf>
    <xf numFmtId="8" fontId="1" fillId="7" borderId="0" xfId="0" applyNumberFormat="1" applyFont="1" applyFill="1" applyAlignment="1">
      <alignment/>
    </xf>
    <xf numFmtId="0" fontId="1" fillId="7" borderId="0" xfId="0" applyFont="1" applyFill="1" applyAlignment="1">
      <alignment horizontal="right"/>
    </xf>
    <xf numFmtId="10" fontId="1" fillId="7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78" fontId="1" fillId="6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178" fontId="1" fillId="6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8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8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1" fillId="13" borderId="1" xfId="0" applyNumberFormat="1" applyFont="1" applyFill="1" applyBorder="1" applyAlignment="1">
      <alignment/>
    </xf>
    <xf numFmtId="4" fontId="1" fillId="8" borderId="1" xfId="0" applyNumberFormat="1" applyFont="1" applyFill="1" applyBorder="1" applyAlignment="1">
      <alignment/>
    </xf>
    <xf numFmtId="8" fontId="1" fillId="0" borderId="3" xfId="0" applyNumberFormat="1" applyFont="1" applyBorder="1" applyAlignment="1">
      <alignment/>
    </xf>
    <xf numFmtId="8" fontId="1" fillId="0" borderId="4" xfId="0" applyNumberFormat="1" applyFont="1" applyBorder="1" applyAlignment="1">
      <alignment/>
    </xf>
    <xf numFmtId="8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7.140625" style="1" customWidth="1"/>
    <col min="3" max="3" width="8.57421875" style="1" customWidth="1"/>
    <col min="4" max="4" width="10.7109375" style="1" customWidth="1"/>
    <col min="5" max="5" width="8.28125" style="1" bestFit="1" customWidth="1"/>
    <col min="6" max="6" width="9.421875" style="1" customWidth="1"/>
    <col min="7" max="7" width="11.00390625" style="1" bestFit="1" customWidth="1"/>
    <col min="8" max="8" width="9.8515625" style="1" bestFit="1" customWidth="1"/>
    <col min="9" max="9" width="10.421875" style="1" bestFit="1" customWidth="1"/>
    <col min="10" max="10" width="8.28125" style="1" bestFit="1" customWidth="1"/>
    <col min="11" max="11" width="14.00390625" style="1" bestFit="1" customWidth="1"/>
    <col min="12" max="12" width="14.421875" style="1" bestFit="1" customWidth="1"/>
    <col min="13" max="13" width="10.57421875" style="1" customWidth="1"/>
    <col min="14" max="14" width="10.28125" style="1" customWidth="1"/>
    <col min="15" max="15" width="2.8515625" style="1" customWidth="1"/>
    <col min="16" max="16" width="1.7109375" style="1" customWidth="1"/>
    <col min="17" max="16384" width="11.421875" style="1" customWidth="1"/>
  </cols>
  <sheetData>
    <row r="1" ht="18">
      <c r="A1" s="18" t="s">
        <v>26</v>
      </c>
    </row>
    <row r="2" ht="11.25">
      <c r="A2" s="3" t="s">
        <v>27</v>
      </c>
    </row>
    <row r="3" spans="1:13" ht="11.25">
      <c r="A3" s="4" t="s">
        <v>8</v>
      </c>
      <c r="E3" s="30">
        <v>29.76</v>
      </c>
      <c r="F3" s="4" t="s">
        <v>9</v>
      </c>
      <c r="H3" s="4" t="s">
        <v>18</v>
      </c>
      <c r="M3" s="33">
        <v>178000</v>
      </c>
    </row>
    <row r="4" spans="1:13" ht="11.25">
      <c r="A4" s="4" t="s">
        <v>20</v>
      </c>
      <c r="E4" s="22">
        <v>833</v>
      </c>
      <c r="F4" s="4" t="s">
        <v>12</v>
      </c>
      <c r="H4" s="4" t="s">
        <v>10</v>
      </c>
      <c r="M4" s="26"/>
    </row>
    <row r="5" spans="1:13" ht="11.25">
      <c r="A5" s="4" t="s">
        <v>13</v>
      </c>
      <c r="E5" s="23">
        <v>0</v>
      </c>
      <c r="F5" s="4" t="s">
        <v>14</v>
      </c>
      <c r="H5" s="4" t="s">
        <v>30</v>
      </c>
      <c r="M5" s="28">
        <v>3000</v>
      </c>
    </row>
    <row r="6" spans="1:13" ht="11.25">
      <c r="A6" s="4" t="s">
        <v>16</v>
      </c>
      <c r="E6" s="24">
        <v>2006</v>
      </c>
      <c r="F6" s="4"/>
      <c r="H6" s="4" t="s">
        <v>15</v>
      </c>
      <c r="M6" s="27">
        <v>0</v>
      </c>
    </row>
    <row r="7" spans="1:10" ht="11.25">
      <c r="A7" s="4" t="s">
        <v>19</v>
      </c>
      <c r="E7" s="52">
        <f>LOOKUP(E6,Vergütung!A4:Vergütung!B10)</f>
        <v>0.518</v>
      </c>
      <c r="F7" s="1" t="s">
        <v>11</v>
      </c>
      <c r="H7" s="12"/>
      <c r="J7" s="35"/>
    </row>
    <row r="8" spans="1:10" ht="11.25">
      <c r="A8" s="4" t="s">
        <v>28</v>
      </c>
      <c r="E8" s="67">
        <v>0.28</v>
      </c>
      <c r="F8" s="1" t="s">
        <v>11</v>
      </c>
      <c r="H8" s="12"/>
      <c r="J8" s="35"/>
    </row>
    <row r="9" spans="1:13" ht="11.25">
      <c r="A9" s="4" t="s">
        <v>43</v>
      </c>
      <c r="E9" s="58">
        <f>M3/100</f>
        <v>1780</v>
      </c>
      <c r="F9" s="1" t="s">
        <v>11</v>
      </c>
      <c r="H9" s="4" t="s">
        <v>31</v>
      </c>
      <c r="J9" s="32">
        <v>0</v>
      </c>
      <c r="K9" s="4" t="s">
        <v>22</v>
      </c>
      <c r="M9" s="29"/>
    </row>
    <row r="10" spans="1:13" ht="11.25">
      <c r="A10" s="4" t="s">
        <v>44</v>
      </c>
      <c r="E10" s="11">
        <v>30</v>
      </c>
      <c r="F10" s="1" t="s">
        <v>11</v>
      </c>
      <c r="H10" s="4" t="s">
        <v>17</v>
      </c>
      <c r="J10" s="19">
        <v>4.2</v>
      </c>
      <c r="K10" s="4" t="s">
        <v>21</v>
      </c>
      <c r="M10" s="20">
        <f>M3-(M4+M5+M6+M9)</f>
        <v>175000</v>
      </c>
    </row>
    <row r="11" spans="1:11" ht="11.25">
      <c r="A11" s="4" t="s">
        <v>45</v>
      </c>
      <c r="C11" s="13"/>
      <c r="H11" s="1" t="s">
        <v>23</v>
      </c>
      <c r="J11" s="34">
        <v>3.2</v>
      </c>
      <c r="K11" s="4" t="s">
        <v>24</v>
      </c>
    </row>
    <row r="12" spans="3:11" ht="12">
      <c r="C12" s="13"/>
      <c r="H12" s="1" t="s">
        <v>78</v>
      </c>
      <c r="J12" s="68"/>
      <c r="K12" s="4"/>
    </row>
    <row r="13" spans="1:14" ht="11.25">
      <c r="A13" s="5" t="s">
        <v>0</v>
      </c>
      <c r="C13" s="13"/>
      <c r="F13" s="16"/>
      <c r="G13" s="16"/>
      <c r="M13" s="41">
        <v>0</v>
      </c>
      <c r="N13" s="48">
        <v>0.005</v>
      </c>
    </row>
    <row r="14" spans="2:13" ht="11.25">
      <c r="B14" s="62"/>
      <c r="C14" s="63"/>
      <c r="D14" s="64"/>
      <c r="E14" s="6"/>
      <c r="F14" s="9" t="s">
        <v>76</v>
      </c>
      <c r="G14" s="7"/>
      <c r="K14" s="48" t="s">
        <v>40</v>
      </c>
      <c r="L14" s="48" t="s">
        <v>42</v>
      </c>
      <c r="M14" s="40" t="s">
        <v>46</v>
      </c>
    </row>
    <row r="15" spans="2:12" ht="11.25">
      <c r="B15" s="64"/>
      <c r="C15" s="64"/>
      <c r="D15" s="64"/>
      <c r="E15" s="7" t="s">
        <v>1</v>
      </c>
      <c r="F15" s="7" t="s">
        <v>2</v>
      </c>
      <c r="G15" s="7" t="s">
        <v>3</v>
      </c>
      <c r="H15" s="21" t="s">
        <v>4</v>
      </c>
      <c r="I15" s="25" t="s">
        <v>5</v>
      </c>
      <c r="J15" s="25" t="s">
        <v>6</v>
      </c>
      <c r="K15" s="48" t="s">
        <v>41</v>
      </c>
      <c r="L15" s="10" t="s">
        <v>39</v>
      </c>
    </row>
    <row r="16" spans="2:7" ht="3.75" customHeight="1">
      <c r="B16" s="64"/>
      <c r="C16" s="64"/>
      <c r="D16" s="64"/>
      <c r="E16" s="7"/>
      <c r="F16" s="7"/>
      <c r="G16" s="7"/>
    </row>
    <row r="17" spans="1:7" ht="11.25">
      <c r="A17" s="53" t="s">
        <v>7</v>
      </c>
      <c r="B17" s="64"/>
      <c r="C17" s="64"/>
      <c r="D17" s="15"/>
      <c r="E17" s="7"/>
      <c r="F17" s="7"/>
      <c r="G17" s="31">
        <f>M10</f>
        <v>175000</v>
      </c>
    </row>
    <row r="18" spans="1:15" ht="11.25">
      <c r="A18" s="48" t="s">
        <v>51</v>
      </c>
      <c r="B18" s="14"/>
      <c r="C18" s="14"/>
      <c r="D18" s="14"/>
      <c r="E18" s="8">
        <f>G17*J$10/100</f>
        <v>7350</v>
      </c>
      <c r="F18" s="17">
        <f>G$17*$J$11/100</f>
        <v>5600</v>
      </c>
      <c r="G18" s="8">
        <f aca="true" t="shared" si="0" ref="G18:G37">G17-F18</f>
        <v>169400</v>
      </c>
      <c r="H18" s="2">
        <f>(E$3*E$4*E$7)*(1-$E$5/100)</f>
        <v>12841.261440000002</v>
      </c>
      <c r="I18" s="2">
        <f aca="true" t="shared" si="1" ref="I18:I42">$E$10</f>
        <v>30</v>
      </c>
      <c r="J18" s="69">
        <f>$E$9-J$12</f>
        <v>1780</v>
      </c>
      <c r="K18" s="2">
        <f aca="true" t="shared" si="2" ref="K18:K37">H18-(B18+C18+E18+F18)-(I18+J18)</f>
        <v>-1918.738559999998</v>
      </c>
      <c r="L18" s="2">
        <f>K18</f>
        <v>-1918.738559999998</v>
      </c>
      <c r="M18" s="39">
        <f>M$13*L18</f>
        <v>0</v>
      </c>
      <c r="N18" s="59">
        <v>1</v>
      </c>
      <c r="O18" s="48">
        <v>1</v>
      </c>
    </row>
    <row r="19" spans="1:15" ht="11.25">
      <c r="A19" s="48" t="s">
        <v>52</v>
      </c>
      <c r="B19" s="14"/>
      <c r="C19" s="14"/>
      <c r="D19" s="14"/>
      <c r="E19" s="8">
        <f aca="true" t="shared" si="3" ref="E19:E42">G18*J$10/100</f>
        <v>7114.8</v>
      </c>
      <c r="F19" s="8">
        <f aca="true" t="shared" si="4" ref="F19:F42">MIN($F$18+$E$18-E19,G18)</f>
        <v>5835.2</v>
      </c>
      <c r="G19" s="8">
        <f t="shared" si="0"/>
        <v>163564.8</v>
      </c>
      <c r="H19" s="2">
        <f>H$18*N19</f>
        <v>12777.055132800002</v>
      </c>
      <c r="I19" s="2">
        <f t="shared" si="1"/>
        <v>30</v>
      </c>
      <c r="J19" s="70">
        <f aca="true" t="shared" si="5" ref="J19:J37">$E$9-J$12</f>
        <v>1780</v>
      </c>
      <c r="K19" s="2">
        <f t="shared" si="2"/>
        <v>-1982.944867199998</v>
      </c>
      <c r="L19" s="2">
        <f>L18+K19+M18</f>
        <v>-3901.683427199996</v>
      </c>
      <c r="M19" s="39">
        <f>M$13*L19</f>
        <v>0</v>
      </c>
      <c r="N19" s="59">
        <f>N18*(1-N$13)</f>
        <v>0.995</v>
      </c>
      <c r="O19" s="48">
        <v>2</v>
      </c>
    </row>
    <row r="20" spans="1:15" ht="11.25">
      <c r="A20" s="48" t="s">
        <v>53</v>
      </c>
      <c r="B20" s="14"/>
      <c r="C20" s="14"/>
      <c r="D20" s="14"/>
      <c r="E20" s="8">
        <f t="shared" si="3"/>
        <v>6869.721600000001</v>
      </c>
      <c r="F20" s="8">
        <f t="shared" si="4"/>
        <v>6080.278399999999</v>
      </c>
      <c r="G20" s="8">
        <f t="shared" si="0"/>
        <v>157484.52159999998</v>
      </c>
      <c r="H20" s="2">
        <f aca="true" t="shared" si="6" ref="H20:H37">H$18*N20</f>
        <v>12713.169857136003</v>
      </c>
      <c r="I20" s="2">
        <f t="shared" si="1"/>
        <v>30</v>
      </c>
      <c r="J20" s="70">
        <f t="shared" si="5"/>
        <v>1780</v>
      </c>
      <c r="K20" s="2">
        <f t="shared" si="2"/>
        <v>-2046.830142863997</v>
      </c>
      <c r="L20" s="2">
        <f>L19+K20+M19</f>
        <v>-5948.513570063993</v>
      </c>
      <c r="M20" s="39">
        <f>M$13*L20</f>
        <v>0</v>
      </c>
      <c r="N20" s="59">
        <f>N19*(1-N$13)</f>
        <v>0.990025</v>
      </c>
      <c r="O20" s="48">
        <v>3</v>
      </c>
    </row>
    <row r="21" spans="1:15" ht="11.25">
      <c r="A21" s="48" t="s">
        <v>54</v>
      </c>
      <c r="B21" s="14"/>
      <c r="C21" s="14"/>
      <c r="D21" s="14"/>
      <c r="E21" s="8">
        <f t="shared" si="3"/>
        <v>6614.349907199999</v>
      </c>
      <c r="F21" s="8">
        <f t="shared" si="4"/>
        <v>6335.650092800001</v>
      </c>
      <c r="G21" s="8">
        <f t="shared" si="0"/>
        <v>151148.87150719998</v>
      </c>
      <c r="H21" s="2">
        <f t="shared" si="6"/>
        <v>12649.604007850323</v>
      </c>
      <c r="I21" s="2">
        <f t="shared" si="1"/>
        <v>30</v>
      </c>
      <c r="J21" s="70">
        <f t="shared" si="5"/>
        <v>1780</v>
      </c>
      <c r="K21" s="2">
        <f t="shared" si="2"/>
        <v>-2110.395992149677</v>
      </c>
      <c r="L21" s="2">
        <f>L20+K21+M20</f>
        <v>-8058.90956221367</v>
      </c>
      <c r="M21" s="39">
        <f>M$13*L21</f>
        <v>0</v>
      </c>
      <c r="N21" s="59">
        <f aca="true" t="shared" si="7" ref="N21:N42">N20*(1-N$13)</f>
        <v>0.985074875</v>
      </c>
      <c r="O21" s="48">
        <v>4</v>
      </c>
    </row>
    <row r="22" spans="1:15" ht="11.25">
      <c r="A22" s="48" t="s">
        <v>55</v>
      </c>
      <c r="B22" s="14"/>
      <c r="C22" s="14"/>
      <c r="D22" s="14"/>
      <c r="E22" s="8">
        <f t="shared" si="3"/>
        <v>6348.252603302399</v>
      </c>
      <c r="F22" s="8">
        <f t="shared" si="4"/>
        <v>6601.747396697601</v>
      </c>
      <c r="G22" s="8">
        <f t="shared" si="0"/>
        <v>144547.12411050237</v>
      </c>
      <c r="H22" s="2">
        <f t="shared" si="6"/>
        <v>12586.355987811072</v>
      </c>
      <c r="I22" s="2">
        <f t="shared" si="1"/>
        <v>30</v>
      </c>
      <c r="J22" s="70">
        <f t="shared" si="5"/>
        <v>1780</v>
      </c>
      <c r="K22" s="2">
        <f t="shared" si="2"/>
        <v>-2173.644012188928</v>
      </c>
      <c r="L22" s="2">
        <f>L21+K22+M21</f>
        <v>-10232.553574402598</v>
      </c>
      <c r="M22" s="39">
        <f aca="true" t="shared" si="8" ref="M22:M42">M$13*L22</f>
        <v>0</v>
      </c>
      <c r="N22" s="59">
        <f t="shared" si="7"/>
        <v>0.9801495006250001</v>
      </c>
      <c r="O22" s="48">
        <v>5</v>
      </c>
    </row>
    <row r="23" spans="1:15" ht="11.25">
      <c r="A23" s="48" t="s">
        <v>56</v>
      </c>
      <c r="B23" s="14"/>
      <c r="C23" s="14"/>
      <c r="D23" s="14"/>
      <c r="E23" s="8">
        <f t="shared" si="3"/>
        <v>6070.9792126411</v>
      </c>
      <c r="F23" s="8">
        <f t="shared" si="4"/>
        <v>6879.0207873589</v>
      </c>
      <c r="G23" s="8">
        <f t="shared" si="0"/>
        <v>137668.10332314347</v>
      </c>
      <c r="H23" s="2">
        <f t="shared" si="6"/>
        <v>12523.424207872016</v>
      </c>
      <c r="I23" s="2">
        <f t="shared" si="1"/>
        <v>30</v>
      </c>
      <c r="J23" s="70">
        <f t="shared" si="5"/>
        <v>1780</v>
      </c>
      <c r="K23" s="2">
        <f t="shared" si="2"/>
        <v>-2236.5757921279837</v>
      </c>
      <c r="L23" s="2">
        <f aca="true" t="shared" si="9" ref="L23:L42">L22+K23+M22</f>
        <v>-12469.129366530582</v>
      </c>
      <c r="M23" s="39">
        <f t="shared" si="8"/>
        <v>0</v>
      </c>
      <c r="N23" s="59">
        <f t="shared" si="7"/>
        <v>0.9752487531218751</v>
      </c>
      <c r="O23" s="48">
        <v>6</v>
      </c>
    </row>
    <row r="24" spans="1:15" ht="11.25">
      <c r="A24" s="48" t="s">
        <v>57</v>
      </c>
      <c r="B24" s="14"/>
      <c r="C24" s="14"/>
      <c r="D24" s="14"/>
      <c r="E24" s="8">
        <f t="shared" si="3"/>
        <v>5782.060339572025</v>
      </c>
      <c r="F24" s="8">
        <f t="shared" si="4"/>
        <v>7167.939660427975</v>
      </c>
      <c r="G24" s="8">
        <f t="shared" si="0"/>
        <v>130500.1636627155</v>
      </c>
      <c r="H24" s="2">
        <f t="shared" si="6"/>
        <v>12460.807086832656</v>
      </c>
      <c r="I24" s="2">
        <f t="shared" si="1"/>
        <v>30</v>
      </c>
      <c r="J24" s="70">
        <f t="shared" si="5"/>
        <v>1780</v>
      </c>
      <c r="K24" s="2">
        <f t="shared" si="2"/>
        <v>-2299.192913167344</v>
      </c>
      <c r="L24" s="2">
        <f t="shared" si="9"/>
        <v>-14768.322279697926</v>
      </c>
      <c r="M24" s="39">
        <f t="shared" si="8"/>
        <v>0</v>
      </c>
      <c r="N24" s="59">
        <f t="shared" si="7"/>
        <v>0.9703725093562657</v>
      </c>
      <c r="O24" s="48">
        <v>7</v>
      </c>
    </row>
    <row r="25" spans="1:15" ht="11.25">
      <c r="A25" s="48" t="s">
        <v>58</v>
      </c>
      <c r="B25" s="14"/>
      <c r="C25" s="14"/>
      <c r="D25" s="14"/>
      <c r="E25" s="8">
        <f t="shared" si="3"/>
        <v>5481.006873834051</v>
      </c>
      <c r="F25" s="8">
        <f t="shared" si="4"/>
        <v>7468.993126165949</v>
      </c>
      <c r="G25" s="8">
        <f t="shared" si="0"/>
        <v>123031.17053654954</v>
      </c>
      <c r="H25" s="2">
        <f t="shared" si="6"/>
        <v>12398.503051398493</v>
      </c>
      <c r="I25" s="2">
        <f t="shared" si="1"/>
        <v>30</v>
      </c>
      <c r="J25" s="70">
        <f t="shared" si="5"/>
        <v>1780</v>
      </c>
      <c r="K25" s="2">
        <f t="shared" si="2"/>
        <v>-2361.496948601507</v>
      </c>
      <c r="L25" s="2">
        <f t="shared" si="9"/>
        <v>-17129.819228299435</v>
      </c>
      <c r="M25" s="39">
        <f t="shared" si="8"/>
        <v>0</v>
      </c>
      <c r="N25" s="59">
        <f t="shared" si="7"/>
        <v>0.9655206468094844</v>
      </c>
      <c r="O25" s="48">
        <v>8</v>
      </c>
    </row>
    <row r="26" spans="1:15" ht="11.25">
      <c r="A26" s="48" t="s">
        <v>59</v>
      </c>
      <c r="B26" s="14"/>
      <c r="C26" s="14"/>
      <c r="D26" s="14"/>
      <c r="E26" s="8">
        <f t="shared" si="3"/>
        <v>5167.309162535082</v>
      </c>
      <c r="F26" s="8">
        <f t="shared" si="4"/>
        <v>7782.690837464918</v>
      </c>
      <c r="G26" s="8">
        <f t="shared" si="0"/>
        <v>115248.47969908462</v>
      </c>
      <c r="H26" s="2">
        <f t="shared" si="6"/>
        <v>12336.5105361415</v>
      </c>
      <c r="I26" s="2">
        <f t="shared" si="1"/>
        <v>30</v>
      </c>
      <c r="J26" s="70">
        <f t="shared" si="5"/>
        <v>1780</v>
      </c>
      <c r="K26" s="2">
        <f t="shared" si="2"/>
        <v>-2423.489463858499</v>
      </c>
      <c r="L26" s="2">
        <f t="shared" si="9"/>
        <v>-19553.308692157934</v>
      </c>
      <c r="M26" s="39">
        <f t="shared" si="8"/>
        <v>0</v>
      </c>
      <c r="N26" s="59">
        <f t="shared" si="7"/>
        <v>0.960693043575437</v>
      </c>
      <c r="O26" s="48">
        <v>9</v>
      </c>
    </row>
    <row r="27" spans="1:15" ht="11.25">
      <c r="A27" s="48" t="s">
        <v>60</v>
      </c>
      <c r="B27" s="14"/>
      <c r="C27" s="65"/>
      <c r="D27" s="14"/>
      <c r="E27" s="8">
        <f t="shared" si="3"/>
        <v>4840.4361473615545</v>
      </c>
      <c r="F27" s="8">
        <f t="shared" si="4"/>
        <v>8109.5638526384455</v>
      </c>
      <c r="G27" s="8">
        <f t="shared" si="0"/>
        <v>107138.91584644618</v>
      </c>
      <c r="H27" s="2">
        <f t="shared" si="6"/>
        <v>12274.827983460793</v>
      </c>
      <c r="I27" s="2">
        <f t="shared" si="1"/>
        <v>30</v>
      </c>
      <c r="J27" s="70">
        <f t="shared" si="5"/>
        <v>1780</v>
      </c>
      <c r="K27" s="2">
        <f t="shared" si="2"/>
        <v>-2485.172016539207</v>
      </c>
      <c r="L27" s="2">
        <f t="shared" si="9"/>
        <v>-22038.48070869714</v>
      </c>
      <c r="M27" s="39">
        <f t="shared" si="8"/>
        <v>0</v>
      </c>
      <c r="N27" s="59">
        <f t="shared" si="7"/>
        <v>0.9558895783575597</v>
      </c>
      <c r="O27" s="60">
        <v>10</v>
      </c>
    </row>
    <row r="28" spans="1:15" ht="11.25">
      <c r="A28" s="48" t="s">
        <v>61</v>
      </c>
      <c r="B28" s="2"/>
      <c r="C28" s="2"/>
      <c r="D28" s="2"/>
      <c r="E28" s="8">
        <f t="shared" si="3"/>
        <v>4499.83446555074</v>
      </c>
      <c r="F28" s="8">
        <f t="shared" si="4"/>
        <v>8450.165534449261</v>
      </c>
      <c r="G28" s="8">
        <f t="shared" si="0"/>
        <v>98688.75031199692</v>
      </c>
      <c r="H28" s="2">
        <f t="shared" si="6"/>
        <v>12213.453843543488</v>
      </c>
      <c r="I28" s="2">
        <f t="shared" si="1"/>
        <v>30</v>
      </c>
      <c r="J28" s="70">
        <f t="shared" si="5"/>
        <v>1780</v>
      </c>
      <c r="K28" s="2">
        <f t="shared" si="2"/>
        <v>-2546.546156456512</v>
      </c>
      <c r="L28" s="2">
        <f t="shared" si="9"/>
        <v>-24585.026865153653</v>
      </c>
      <c r="M28" s="39">
        <f t="shared" si="8"/>
        <v>0</v>
      </c>
      <c r="N28" s="59">
        <f t="shared" si="7"/>
        <v>0.9511101304657719</v>
      </c>
      <c r="O28" s="48">
        <v>11</v>
      </c>
    </row>
    <row r="29" spans="1:15" ht="11.25">
      <c r="A29" s="48" t="s">
        <v>62</v>
      </c>
      <c r="B29" s="2"/>
      <c r="C29" s="2"/>
      <c r="D29" s="2"/>
      <c r="E29" s="8">
        <f t="shared" si="3"/>
        <v>4144.927513103871</v>
      </c>
      <c r="F29" s="8">
        <f t="shared" si="4"/>
        <v>8805.07248689613</v>
      </c>
      <c r="G29" s="8">
        <f t="shared" si="0"/>
        <v>89883.67782510079</v>
      </c>
      <c r="H29" s="2">
        <f t="shared" si="6"/>
        <v>12152.38657432577</v>
      </c>
      <c r="I29" s="2">
        <f t="shared" si="1"/>
        <v>30</v>
      </c>
      <c r="J29" s="70">
        <f t="shared" si="5"/>
        <v>1780</v>
      </c>
      <c r="K29" s="2">
        <f t="shared" si="2"/>
        <v>-2607.61342567423</v>
      </c>
      <c r="L29" s="2">
        <f t="shared" si="9"/>
        <v>-27192.640290827883</v>
      </c>
      <c r="M29" s="39">
        <f t="shared" si="8"/>
        <v>0</v>
      </c>
      <c r="N29" s="59">
        <f t="shared" si="7"/>
        <v>0.946354579813443</v>
      </c>
      <c r="O29" s="48">
        <v>12</v>
      </c>
    </row>
    <row r="30" spans="1:15" ht="11.25">
      <c r="A30" s="48" t="s">
        <v>63</v>
      </c>
      <c r="B30" s="2"/>
      <c r="C30" s="2"/>
      <c r="D30" s="2"/>
      <c r="E30" s="8">
        <f t="shared" si="3"/>
        <v>3775.1144686542334</v>
      </c>
      <c r="F30" s="8">
        <f t="shared" si="4"/>
        <v>9174.885531345766</v>
      </c>
      <c r="G30" s="8">
        <f t="shared" si="0"/>
        <v>80708.79229375503</v>
      </c>
      <c r="H30" s="2">
        <f t="shared" si="6"/>
        <v>12091.62464145414</v>
      </c>
      <c r="I30" s="2">
        <f t="shared" si="1"/>
        <v>30</v>
      </c>
      <c r="J30" s="70">
        <f t="shared" si="5"/>
        <v>1780</v>
      </c>
      <c r="K30" s="2">
        <f t="shared" si="2"/>
        <v>-2668.37535854586</v>
      </c>
      <c r="L30" s="2">
        <f t="shared" si="9"/>
        <v>-29861.015649373745</v>
      </c>
      <c r="M30" s="39">
        <f t="shared" si="8"/>
        <v>0</v>
      </c>
      <c r="N30" s="59">
        <f t="shared" si="7"/>
        <v>0.9416228069143757</v>
      </c>
      <c r="O30" s="48">
        <v>13</v>
      </c>
    </row>
    <row r="31" spans="1:15" ht="11.25">
      <c r="A31" s="48" t="s">
        <v>64</v>
      </c>
      <c r="B31" s="2"/>
      <c r="C31" s="2"/>
      <c r="D31" s="2"/>
      <c r="E31" s="8">
        <f t="shared" si="3"/>
        <v>3389.7692763377113</v>
      </c>
      <c r="F31" s="8">
        <f t="shared" si="4"/>
        <v>9560.23072366229</v>
      </c>
      <c r="G31" s="8">
        <f t="shared" si="0"/>
        <v>71148.56157009274</v>
      </c>
      <c r="H31" s="2">
        <f t="shared" si="6"/>
        <v>12031.16651824687</v>
      </c>
      <c r="I31" s="2">
        <f t="shared" si="1"/>
        <v>30</v>
      </c>
      <c r="J31" s="70">
        <f t="shared" si="5"/>
        <v>1780</v>
      </c>
      <c r="K31" s="2">
        <f t="shared" si="2"/>
        <v>-2728.8334817531304</v>
      </c>
      <c r="L31" s="2">
        <f t="shared" si="9"/>
        <v>-32589.849131126874</v>
      </c>
      <c r="M31" s="39">
        <f t="shared" si="8"/>
        <v>0</v>
      </c>
      <c r="N31" s="59">
        <f t="shared" si="7"/>
        <v>0.9369146928798039</v>
      </c>
      <c r="O31" s="48">
        <v>14</v>
      </c>
    </row>
    <row r="32" spans="1:15" ht="11.25">
      <c r="A32" s="48" t="s">
        <v>65</v>
      </c>
      <c r="B32" s="2"/>
      <c r="C32" s="2"/>
      <c r="D32" s="2"/>
      <c r="E32" s="8">
        <f t="shared" si="3"/>
        <v>2988.2395859438957</v>
      </c>
      <c r="F32" s="8">
        <f t="shared" si="4"/>
        <v>9961.760414056105</v>
      </c>
      <c r="G32" s="8">
        <f t="shared" si="0"/>
        <v>61186.80115603664</v>
      </c>
      <c r="H32" s="2">
        <f t="shared" si="6"/>
        <v>11971.010685655636</v>
      </c>
      <c r="I32" s="2">
        <f t="shared" si="1"/>
        <v>30</v>
      </c>
      <c r="J32" s="70">
        <f t="shared" si="5"/>
        <v>1780</v>
      </c>
      <c r="K32" s="2">
        <f t="shared" si="2"/>
        <v>-2788.989314344364</v>
      </c>
      <c r="L32" s="2">
        <f t="shared" si="9"/>
        <v>-35378.838445471236</v>
      </c>
      <c r="M32" s="39">
        <f t="shared" si="8"/>
        <v>0</v>
      </c>
      <c r="N32" s="59">
        <f t="shared" si="7"/>
        <v>0.9322301194154049</v>
      </c>
      <c r="O32" s="48">
        <v>15</v>
      </c>
    </row>
    <row r="33" spans="1:15" ht="11.25">
      <c r="A33" s="48" t="s">
        <v>66</v>
      </c>
      <c r="B33" s="2"/>
      <c r="C33" s="2"/>
      <c r="D33" s="2"/>
      <c r="E33" s="8">
        <f t="shared" si="3"/>
        <v>2569.845648553539</v>
      </c>
      <c r="F33" s="8">
        <f t="shared" si="4"/>
        <v>10380.154351446461</v>
      </c>
      <c r="G33" s="8">
        <f t="shared" si="0"/>
        <v>50806.646804590186</v>
      </c>
      <c r="H33" s="2">
        <f t="shared" si="6"/>
        <v>11911.155632227357</v>
      </c>
      <c r="I33" s="2">
        <f t="shared" si="1"/>
        <v>30</v>
      </c>
      <c r="J33" s="70">
        <f t="shared" si="5"/>
        <v>1780</v>
      </c>
      <c r="K33" s="2">
        <f t="shared" si="2"/>
        <v>-2848.8443677726427</v>
      </c>
      <c r="L33" s="2">
        <f t="shared" si="9"/>
        <v>-38227.68281324388</v>
      </c>
      <c r="M33" s="39">
        <f t="shared" si="8"/>
        <v>0</v>
      </c>
      <c r="N33" s="59">
        <f t="shared" si="7"/>
        <v>0.9275689688183278</v>
      </c>
      <c r="O33" s="48">
        <v>16</v>
      </c>
    </row>
    <row r="34" spans="1:15" ht="11.25">
      <c r="A34" s="48" t="s">
        <v>67</v>
      </c>
      <c r="B34" s="2"/>
      <c r="C34" s="2"/>
      <c r="D34" s="2"/>
      <c r="E34" s="8">
        <f t="shared" si="3"/>
        <v>2133.879165792788</v>
      </c>
      <c r="F34" s="8">
        <f t="shared" si="4"/>
        <v>10816.120834207211</v>
      </c>
      <c r="G34" s="8">
        <f t="shared" si="0"/>
        <v>39990.52597038297</v>
      </c>
      <c r="H34" s="2">
        <f t="shared" si="6"/>
        <v>11851.59985406622</v>
      </c>
      <c r="I34" s="2">
        <f t="shared" si="1"/>
        <v>30</v>
      </c>
      <c r="J34" s="70">
        <f t="shared" si="5"/>
        <v>1780</v>
      </c>
      <c r="K34" s="2">
        <f t="shared" si="2"/>
        <v>-2908.4001459337796</v>
      </c>
      <c r="L34" s="2">
        <f t="shared" si="9"/>
        <v>-41136.082959177664</v>
      </c>
      <c r="M34" s="39">
        <f t="shared" si="8"/>
        <v>0</v>
      </c>
      <c r="N34" s="59">
        <f t="shared" si="7"/>
        <v>0.9229311239742362</v>
      </c>
      <c r="O34" s="48">
        <v>17</v>
      </c>
    </row>
    <row r="35" spans="1:15" ht="11.25">
      <c r="A35" s="48" t="s">
        <v>68</v>
      </c>
      <c r="B35" s="2"/>
      <c r="C35" s="2"/>
      <c r="D35" s="2"/>
      <c r="E35" s="8">
        <f t="shared" si="3"/>
        <v>1679.6020907560849</v>
      </c>
      <c r="F35" s="8">
        <f t="shared" si="4"/>
        <v>11270.397909243915</v>
      </c>
      <c r="G35" s="8">
        <f t="shared" si="0"/>
        <v>28720.128061139058</v>
      </c>
      <c r="H35" s="2">
        <f t="shared" si="6"/>
        <v>11792.34185479589</v>
      </c>
      <c r="I35" s="2">
        <f t="shared" si="1"/>
        <v>30</v>
      </c>
      <c r="J35" s="70">
        <f t="shared" si="5"/>
        <v>1780</v>
      </c>
      <c r="K35" s="2">
        <f t="shared" si="2"/>
        <v>-2967.65814520411</v>
      </c>
      <c r="L35" s="2">
        <f t="shared" si="9"/>
        <v>-44103.74110438177</v>
      </c>
      <c r="M35" s="39">
        <f t="shared" si="8"/>
        <v>0</v>
      </c>
      <c r="N35" s="59">
        <f t="shared" si="7"/>
        <v>0.918316468354365</v>
      </c>
      <c r="O35" s="48">
        <v>18</v>
      </c>
    </row>
    <row r="36" spans="1:15" ht="11.25">
      <c r="A36" s="48" t="s">
        <v>69</v>
      </c>
      <c r="B36" s="2"/>
      <c r="C36" s="2"/>
      <c r="D36" s="2"/>
      <c r="E36" s="8">
        <f t="shared" si="3"/>
        <v>1206.2453785678406</v>
      </c>
      <c r="F36" s="8">
        <f t="shared" si="4"/>
        <v>11743.75462143216</v>
      </c>
      <c r="G36" s="8">
        <f t="shared" si="0"/>
        <v>16976.3734397069</v>
      </c>
      <c r="H36" s="2">
        <f t="shared" si="6"/>
        <v>11733.380145521909</v>
      </c>
      <c r="I36" s="2">
        <f t="shared" si="1"/>
        <v>30</v>
      </c>
      <c r="J36" s="70">
        <f t="shared" si="5"/>
        <v>1780</v>
      </c>
      <c r="K36" s="2">
        <f t="shared" si="2"/>
        <v>-3026.619854478091</v>
      </c>
      <c r="L36" s="2">
        <f t="shared" si="9"/>
        <v>-47130.36095885986</v>
      </c>
      <c r="M36" s="39">
        <f t="shared" si="8"/>
        <v>0</v>
      </c>
      <c r="N36" s="59">
        <f t="shared" si="7"/>
        <v>0.9137248860125932</v>
      </c>
      <c r="O36" s="48">
        <v>19</v>
      </c>
    </row>
    <row r="37" spans="1:15" ht="11.25">
      <c r="A37" s="48" t="s">
        <v>70</v>
      </c>
      <c r="B37" s="2"/>
      <c r="C37" s="2"/>
      <c r="D37" s="2"/>
      <c r="E37" s="8">
        <f t="shared" si="3"/>
        <v>713.0076844676898</v>
      </c>
      <c r="F37" s="8">
        <f t="shared" si="4"/>
        <v>12236.99231553231</v>
      </c>
      <c r="G37" s="8">
        <f t="shared" si="0"/>
        <v>4739.381124174588</v>
      </c>
      <c r="H37" s="2">
        <f t="shared" si="6"/>
        <v>11674.7132447943</v>
      </c>
      <c r="I37" s="2">
        <f t="shared" si="1"/>
        <v>30</v>
      </c>
      <c r="J37" s="70">
        <f t="shared" si="5"/>
        <v>1780</v>
      </c>
      <c r="K37" s="2">
        <f t="shared" si="2"/>
        <v>-3085.2867552056996</v>
      </c>
      <c r="L37" s="61">
        <f t="shared" si="9"/>
        <v>-50215.64771406556</v>
      </c>
      <c r="M37" s="39">
        <f t="shared" si="8"/>
        <v>0</v>
      </c>
      <c r="N37" s="59">
        <f t="shared" si="7"/>
        <v>0.9091562615825302</v>
      </c>
      <c r="O37" s="60">
        <v>20</v>
      </c>
    </row>
    <row r="38" spans="1:15" ht="11.25">
      <c r="A38" s="48" t="s">
        <v>71</v>
      </c>
      <c r="E38" s="8">
        <f t="shared" si="3"/>
        <v>199.05400721533272</v>
      </c>
      <c r="F38" s="8">
        <f t="shared" si="4"/>
        <v>4739.381124174588</v>
      </c>
      <c r="G38" s="8">
        <f>G37-F38</f>
        <v>0</v>
      </c>
      <c r="H38" s="38">
        <f>(E$3*E$4*E$8)*(1-$E$5/100)*N38</f>
        <v>6279.102528956935</v>
      </c>
      <c r="I38" s="2">
        <f t="shared" si="1"/>
        <v>30</v>
      </c>
      <c r="J38" s="70">
        <f>-J$12</f>
        <v>0</v>
      </c>
      <c r="K38" s="2">
        <f>H38-(B38+C38+E38+F38)-(I38+J38)</f>
        <v>1310.6673975670146</v>
      </c>
      <c r="L38" s="2">
        <f t="shared" si="9"/>
        <v>-48904.98031649855</v>
      </c>
      <c r="M38" s="39">
        <f t="shared" si="8"/>
        <v>0</v>
      </c>
      <c r="N38" s="59">
        <f t="shared" si="7"/>
        <v>0.9046104802746175</v>
      </c>
      <c r="O38" s="48">
        <v>21</v>
      </c>
    </row>
    <row r="39" spans="1:15" ht="11.25">
      <c r="A39" s="48" t="s">
        <v>72</v>
      </c>
      <c r="E39" s="8">
        <f t="shared" si="3"/>
        <v>0</v>
      </c>
      <c r="F39" s="8">
        <f t="shared" si="4"/>
        <v>0</v>
      </c>
      <c r="G39" s="8">
        <f>G38-F39</f>
        <v>0</v>
      </c>
      <c r="H39" s="38">
        <f>(E$3*E$4*E$8)*(1-$E$5/100)*N39</f>
        <v>6247.70701631215</v>
      </c>
      <c r="I39" s="2">
        <f t="shared" si="1"/>
        <v>30</v>
      </c>
      <c r="J39" s="70">
        <f>-J$12</f>
        <v>0</v>
      </c>
      <c r="K39" s="2">
        <f>H39-(B39+C39+E39+F39)-(I39+J39)</f>
        <v>6217.70701631215</v>
      </c>
      <c r="L39" s="2">
        <f t="shared" si="9"/>
        <v>-42687.273300186396</v>
      </c>
      <c r="M39" s="39">
        <f t="shared" si="8"/>
        <v>0</v>
      </c>
      <c r="N39" s="59">
        <f t="shared" si="7"/>
        <v>0.9000874278732445</v>
      </c>
      <c r="O39" s="48">
        <v>22</v>
      </c>
    </row>
    <row r="40" spans="1:15" ht="11.25">
      <c r="A40" s="48" t="s">
        <v>73</v>
      </c>
      <c r="E40" s="8">
        <f t="shared" si="3"/>
        <v>0</v>
      </c>
      <c r="F40" s="8">
        <f t="shared" si="4"/>
        <v>0</v>
      </c>
      <c r="G40" s="8">
        <f>G39-F40</f>
        <v>0</v>
      </c>
      <c r="H40" s="38">
        <f>(E$3*E$4*E$8)*(1-$E$5/100)*N40</f>
        <v>6216.4684812305895</v>
      </c>
      <c r="I40" s="2">
        <f t="shared" si="1"/>
        <v>30</v>
      </c>
      <c r="J40" s="70">
        <f>-J$12</f>
        <v>0</v>
      </c>
      <c r="K40" s="2">
        <f>H40-(B40+C40+E40+F40)-(I40+J40)</f>
        <v>6186.4684812305895</v>
      </c>
      <c r="L40" s="2">
        <f t="shared" si="9"/>
        <v>-36500.8048189558</v>
      </c>
      <c r="M40" s="39">
        <f t="shared" si="8"/>
        <v>0</v>
      </c>
      <c r="N40" s="59">
        <f t="shared" si="7"/>
        <v>0.8955869907338783</v>
      </c>
      <c r="O40" s="48">
        <v>23</v>
      </c>
    </row>
    <row r="41" spans="1:15" ht="11.25">
      <c r="A41" s="48" t="s">
        <v>74</v>
      </c>
      <c r="E41" s="8">
        <f t="shared" si="3"/>
        <v>0</v>
      </c>
      <c r="F41" s="8">
        <f t="shared" si="4"/>
        <v>0</v>
      </c>
      <c r="G41" s="8">
        <f>G40-F41</f>
        <v>0</v>
      </c>
      <c r="H41" s="38">
        <f>(E$3*E$4*E$8)*(1-$E$5/100)*N41</f>
        <v>6185.386138824436</v>
      </c>
      <c r="I41" s="2">
        <f t="shared" si="1"/>
        <v>30</v>
      </c>
      <c r="J41" s="70">
        <f>-J$12</f>
        <v>0</v>
      </c>
      <c r="K41" s="2">
        <f>H41-(B41+C41+E41+F41)-(I41+J41)</f>
        <v>6155.386138824436</v>
      </c>
      <c r="L41" s="2">
        <f t="shared" si="9"/>
        <v>-30345.418680131366</v>
      </c>
      <c r="M41" s="39">
        <f t="shared" si="8"/>
        <v>0</v>
      </c>
      <c r="N41" s="59">
        <f t="shared" si="7"/>
        <v>0.8911090557802088</v>
      </c>
      <c r="O41" s="48">
        <v>24</v>
      </c>
    </row>
    <row r="42" spans="1:15" ht="11.25">
      <c r="A42" s="48" t="s">
        <v>75</v>
      </c>
      <c r="E42" s="8">
        <f t="shared" si="3"/>
        <v>0</v>
      </c>
      <c r="F42" s="8">
        <f t="shared" si="4"/>
        <v>0</v>
      </c>
      <c r="G42" s="8">
        <f>G41-F42</f>
        <v>0</v>
      </c>
      <c r="H42" s="38">
        <f>(E$3*E$4*E$8)*(1-$E$5/100)*N42</f>
        <v>6154.459208130314</v>
      </c>
      <c r="I42" s="2">
        <f t="shared" si="1"/>
        <v>30</v>
      </c>
      <c r="J42" s="71">
        <f>-J$12</f>
        <v>0</v>
      </c>
      <c r="K42" s="2">
        <f>H42-(B42+C42+E42+F42)-(I42+J42)</f>
        <v>6124.459208130314</v>
      </c>
      <c r="L42" s="2">
        <f t="shared" si="9"/>
        <v>-24220.95947200105</v>
      </c>
      <c r="M42" s="39">
        <f t="shared" si="8"/>
        <v>0</v>
      </c>
      <c r="N42" s="59">
        <f t="shared" si="7"/>
        <v>0.8866535105013078</v>
      </c>
      <c r="O42" s="48">
        <v>25</v>
      </c>
    </row>
    <row r="44" spans="5:6" ht="11.25">
      <c r="E44" s="2">
        <f>SUM(E18:E37)</f>
        <v>88739.38112417463</v>
      </c>
      <c r="F44" s="2">
        <f>SUM(F18:F37)</f>
        <v>170260.6188758254</v>
      </c>
    </row>
    <row r="46" spans="1:12" ht="11.25">
      <c r="A46" s="3" t="s">
        <v>29</v>
      </c>
      <c r="D46" s="37"/>
      <c r="E46" s="37"/>
      <c r="F46" s="37"/>
      <c r="G46" s="37"/>
      <c r="H46" s="37"/>
      <c r="I46" s="37"/>
      <c r="J46" s="37"/>
      <c r="K46" s="37"/>
      <c r="L46" s="36">
        <f>L42</f>
        <v>-24220.95947200105</v>
      </c>
    </row>
    <row r="51" ht="11.25">
      <c r="A51" s="4"/>
    </row>
  </sheetData>
  <sheetProtection selectLockedCells="1"/>
  <conditionalFormatting sqref="E3">
    <cfRule type="cellIs" priority="1" dxfId="0" operator="greaterThanOrEqual" stopIfTrue="1">
      <formula>0</formula>
    </cfRule>
  </conditionalFormatting>
  <dataValidations count="2">
    <dataValidation type="list" allowBlank="1" showInputMessage="1" showErrorMessage="1" sqref="E6">
      <formula1>"2003,2004,2005,2006,2007,2008,2009"</formula1>
    </dataValidation>
    <dataValidation type="decimal" allowBlank="1" showInputMessage="1" showErrorMessage="1" sqref="E3">
      <formula1>0</formula1>
      <formula2>100000</formula2>
    </dataValidation>
  </dataValidations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 &amp;"Arial,Fett"&amp;11Anlage:&amp;"Arial,Standard"  Photovoltaik-Anlage (30 kWpeak) KB-Schule Euskirchen mit  Kalkulationsgrundlagen für 2005&amp;10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11" sqref="B11"/>
    </sheetView>
  </sheetViews>
  <sheetFormatPr defaultColWidth="11.421875" defaultRowHeight="12.75"/>
  <sheetData>
    <row r="1" ht="12.75">
      <c r="I1" t="s">
        <v>48</v>
      </c>
    </row>
    <row r="2" spans="1:9" ht="25.5">
      <c r="A2" s="46" t="s">
        <v>25</v>
      </c>
      <c r="B2" s="43" t="s">
        <v>34</v>
      </c>
      <c r="F2" s="43" t="s">
        <v>35</v>
      </c>
      <c r="H2" s="44" t="s">
        <v>36</v>
      </c>
      <c r="I2" s="45" t="s">
        <v>37</v>
      </c>
    </row>
    <row r="3" spans="2:9" ht="12.75">
      <c r="B3" s="66" t="s">
        <v>77</v>
      </c>
      <c r="D3" t="s">
        <v>49</v>
      </c>
      <c r="H3" s="46">
        <v>8.33</v>
      </c>
      <c r="I3" s="46" t="s">
        <v>32</v>
      </c>
    </row>
    <row r="4" spans="1:9" ht="12.75">
      <c r="A4" s="46">
        <v>2003</v>
      </c>
      <c r="B4" s="49">
        <v>0.457</v>
      </c>
      <c r="C4" t="s">
        <v>11</v>
      </c>
      <c r="D4" s="50" t="s">
        <v>50</v>
      </c>
      <c r="F4">
        <v>0.457</v>
      </c>
      <c r="H4" s="46">
        <v>3.03</v>
      </c>
      <c r="I4" s="46" t="s">
        <v>33</v>
      </c>
    </row>
    <row r="5" spans="1:6" ht="12.75">
      <c r="A5" s="46">
        <v>2004</v>
      </c>
      <c r="B5" s="57">
        <f>ROUND(E5,4)</f>
        <v>0.574</v>
      </c>
      <c r="C5" t="s">
        <v>11</v>
      </c>
      <c r="D5" s="51">
        <v>1</v>
      </c>
      <c r="E5" s="55">
        <v>0.574</v>
      </c>
      <c r="F5">
        <v>0.434</v>
      </c>
    </row>
    <row r="6" spans="1:6" ht="12.75">
      <c r="A6" s="46">
        <v>2005</v>
      </c>
      <c r="B6" s="57">
        <f>ROUND(E6,4)</f>
        <v>0.5453</v>
      </c>
      <c r="C6" t="s">
        <v>11</v>
      </c>
      <c r="D6" s="51">
        <f>D5*0.95</f>
        <v>0.95</v>
      </c>
      <c r="E6" s="56">
        <f aca="true" t="shared" si="0" ref="E6:E14">TRUNC(E5*0.95,6)</f>
        <v>0.5453</v>
      </c>
      <c r="F6">
        <v>0.412</v>
      </c>
    </row>
    <row r="7" spans="1:6" ht="12.75">
      <c r="A7" s="46">
        <v>2006</v>
      </c>
      <c r="B7" s="57">
        <f aca="true" t="shared" si="1" ref="B7:B14">ROUND(E7,4)</f>
        <v>0.518</v>
      </c>
      <c r="C7" t="s">
        <v>11</v>
      </c>
      <c r="D7" s="51">
        <f>D6*0.95</f>
        <v>0.9025</v>
      </c>
      <c r="E7" s="56">
        <f t="shared" si="0"/>
        <v>0.518035</v>
      </c>
      <c r="F7">
        <v>0.392</v>
      </c>
    </row>
    <row r="8" spans="1:5" ht="12.75">
      <c r="A8" s="46">
        <v>2007</v>
      </c>
      <c r="B8" s="57">
        <f t="shared" si="1"/>
        <v>0.4921</v>
      </c>
      <c r="C8" t="s">
        <v>11</v>
      </c>
      <c r="D8" s="51">
        <f>D7*0.95</f>
        <v>0.8573749999999999</v>
      </c>
      <c r="E8" s="56">
        <f t="shared" si="0"/>
        <v>0.492133</v>
      </c>
    </row>
    <row r="9" spans="1:9" ht="12.75">
      <c r="A9" s="46">
        <v>2008</v>
      </c>
      <c r="B9" s="57">
        <f t="shared" si="1"/>
        <v>0.4675</v>
      </c>
      <c r="C9" t="s">
        <v>11</v>
      </c>
      <c r="D9" s="51">
        <f>D8*0.95</f>
        <v>0.8145062499999999</v>
      </c>
      <c r="E9" s="56">
        <f t="shared" si="0"/>
        <v>0.467526</v>
      </c>
      <c r="H9" s="54"/>
      <c r="I9" s="56"/>
    </row>
    <row r="10" spans="1:9" ht="12.75">
      <c r="A10" s="46">
        <v>2009</v>
      </c>
      <c r="B10" s="57">
        <f t="shared" si="1"/>
        <v>0.4441</v>
      </c>
      <c r="C10" t="s">
        <v>11</v>
      </c>
      <c r="D10" s="51">
        <f>D9*0.95</f>
        <v>0.7737809374999999</v>
      </c>
      <c r="E10" s="56">
        <f t="shared" si="0"/>
        <v>0.444149</v>
      </c>
      <c r="H10" s="54"/>
      <c r="I10" s="56"/>
    </row>
    <row r="11" spans="1:11" ht="12.75">
      <c r="A11" s="46">
        <v>2010</v>
      </c>
      <c r="B11" s="57">
        <f t="shared" si="1"/>
        <v>0.4219</v>
      </c>
      <c r="C11" t="s">
        <v>11</v>
      </c>
      <c r="E11" s="56">
        <f t="shared" si="0"/>
        <v>0.421941</v>
      </c>
      <c r="H11" s="54"/>
      <c r="I11" s="56"/>
      <c r="K11" s="49"/>
    </row>
    <row r="12" spans="1:11" ht="12.75">
      <c r="A12" s="46">
        <v>2011</v>
      </c>
      <c r="B12" s="57">
        <f t="shared" si="1"/>
        <v>0.4008</v>
      </c>
      <c r="C12" t="s">
        <v>11</v>
      </c>
      <c r="E12" s="56">
        <f t="shared" si="0"/>
        <v>0.400843</v>
      </c>
      <c r="H12" s="54"/>
      <c r="I12" s="56"/>
      <c r="K12" s="49"/>
    </row>
    <row r="13" spans="1:11" ht="12.75">
      <c r="A13" s="46">
        <v>2012</v>
      </c>
      <c r="B13" s="57">
        <f t="shared" si="1"/>
        <v>0.3808</v>
      </c>
      <c r="C13" t="s">
        <v>11</v>
      </c>
      <c r="E13" s="56">
        <f t="shared" si="0"/>
        <v>0.3808</v>
      </c>
      <c r="H13" s="54"/>
      <c r="I13" s="56"/>
      <c r="K13" s="49"/>
    </row>
    <row r="14" spans="1:11" ht="12.75">
      <c r="A14" s="46">
        <v>2013</v>
      </c>
      <c r="B14" s="57">
        <f t="shared" si="1"/>
        <v>0.3618</v>
      </c>
      <c r="C14" t="s">
        <v>11</v>
      </c>
      <c r="E14" s="56">
        <f t="shared" si="0"/>
        <v>0.36176</v>
      </c>
      <c r="H14" s="54"/>
      <c r="I14" s="56"/>
      <c r="K14" s="49"/>
    </row>
    <row r="15" spans="8:11" ht="12.75">
      <c r="H15" s="54"/>
      <c r="I15" s="56"/>
      <c r="K15" s="49"/>
    </row>
    <row r="16" spans="8:11" ht="12.75">
      <c r="H16" s="54"/>
      <c r="I16" s="56"/>
      <c r="K16" s="49"/>
    </row>
    <row r="17" spans="8:11" ht="12.75">
      <c r="H17" s="54"/>
      <c r="I17" s="56"/>
      <c r="K17" s="49"/>
    </row>
    <row r="18" spans="1:11" ht="12.75">
      <c r="A18" t="s">
        <v>38</v>
      </c>
      <c r="H18" s="54"/>
      <c r="I18" s="56"/>
      <c r="K18" s="49"/>
    </row>
    <row r="19" spans="1:11" ht="12.75">
      <c r="A19" s="47">
        <v>2004</v>
      </c>
      <c r="B19" s="42">
        <f>LOOKUP(A19,A4:B10)</f>
        <v>0.574</v>
      </c>
      <c r="H19" s="54"/>
      <c r="I19" s="56"/>
      <c r="K19" s="49"/>
    </row>
    <row r="20" spans="1:11" ht="12.75">
      <c r="A20">
        <v>3.03</v>
      </c>
      <c r="C20" t="s">
        <v>47</v>
      </c>
      <c r="H20" s="49"/>
      <c r="I20" s="49"/>
      <c r="K20" s="4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2005-02-23T14:36:49Z</cp:lastPrinted>
  <dcterms:created xsi:type="dcterms:W3CDTF">2003-07-24T08:24:22Z</dcterms:created>
  <dcterms:modified xsi:type="dcterms:W3CDTF">2005-02-23T14:37:43Z</dcterms:modified>
  <cp:category/>
  <cp:version/>
  <cp:contentType/>
  <cp:contentStatus/>
</cp:coreProperties>
</file>